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Projecao Patrimonio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&quot;R$&quot; #,##0.00"/>
    <numFmt numFmtId="165" formatCode="0.0%"/>
  </numFmts>
  <fonts count="7">
    <font>
      <name val="Calibri"/>
      <family val="2"/>
      <color theme="1"/>
      <sz val="11"/>
      <scheme val="minor"/>
    </font>
    <font>
      <b val="1"/>
      <color rgb="00FFFFFF"/>
      <sz val="14"/>
    </font>
    <font>
      <b val="1"/>
    </font>
    <font>
      <b val="1"/>
      <color rgb="002c5aa0"/>
    </font>
    <font>
      <b val="1"/>
      <color rgb="00FFFFFF"/>
    </font>
    <font>
      <b val="1"/>
      <sz val="12"/>
    </font>
    <font>
      <i val="1"/>
      <sz val="10"/>
    </font>
  </fonts>
  <fills count="5">
    <fill>
      <patternFill/>
    </fill>
    <fill>
      <patternFill patternType="gray125"/>
    </fill>
    <fill>
      <patternFill patternType="solid">
        <fgColor rgb="004c81db"/>
        <bgColor rgb="004c81db"/>
      </patternFill>
    </fill>
    <fill>
      <patternFill patternType="solid">
        <fgColor rgb="00f3f6fb"/>
        <bgColor rgb="00f3f6fb"/>
      </patternFill>
    </fill>
    <fill>
      <patternFill patternType="solid">
        <fgColor rgb="002c5aa0"/>
        <bgColor rgb="002c5aa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pivotButton="0" quotePrefix="0" xfId="0"/>
    <xf numFmtId="0" fontId="1" fillId="2" borderId="0" applyAlignment="1" pivotButton="0" quotePrefix="0" xfId="0">
      <alignment horizontal="center"/>
    </xf>
    <xf numFmtId="0" fontId="2" fillId="0" borderId="0" pivotButton="0" quotePrefix="0" xfId="0"/>
    <xf numFmtId="164" fontId="3" fillId="3" borderId="0" pivotButton="0" quotePrefix="0" xfId="0"/>
    <xf numFmtId="10" fontId="3" fillId="3" borderId="0" pivotButton="0" quotePrefix="0" xfId="0"/>
    <xf numFmtId="0" fontId="4" fillId="4" borderId="0" applyAlignment="1" pivotButton="0" quotePrefix="0" xfId="0">
      <alignment horizontal="center"/>
    </xf>
    <xf numFmtId="0" fontId="0" fillId="0" borderId="0" applyAlignment="1" pivotButton="0" quotePrefix="0" xfId="0">
      <alignment horizontal="center"/>
    </xf>
    <xf numFmtId="164" fontId="0" fillId="0" borderId="0" pivotButton="0" quotePrefix="0" xfId="0"/>
    <xf numFmtId="164" fontId="2" fillId="0" borderId="0" pivotButton="0" quotePrefix="0" xfId="0"/>
    <xf numFmtId="165" fontId="0" fillId="0" borderId="0" pivotButton="0" quotePrefix="0" xfId="0"/>
    <xf numFmtId="0" fontId="5" fillId="0" borderId="0" pivotButton="0" quotePrefix="0" xfId="0"/>
    <xf numFmtId="164" fontId="3" fillId="0" borderId="0" pivotButton="0" quotePrefix="0" xfId="0"/>
    <xf numFmtId="0" fontId="6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31"/>
  <sheetViews>
    <sheetView workbookViewId="0">
      <selection activeCell="A1" sqref="A1"/>
    </sheetView>
  </sheetViews>
  <sheetFormatPr baseColWidth="8" defaultRowHeight="15"/>
  <cols>
    <col width="8" customWidth="1" min="1" max="1"/>
    <col width="22" customWidth="1" min="2" max="2"/>
    <col width="24" customWidth="1" min="3" max="3"/>
    <col width="22" customWidth="1" min="4" max="4"/>
    <col width="12" customWidth="1" min="5" max="5"/>
    <col width="16" customWidth="1" min="6" max="6"/>
    <col width="16" customWidth="1" min="7" max="7"/>
  </cols>
  <sheetData>
    <row r="1" ht="30" customHeight="1">
      <c r="A1" s="1" t="inlineStr">
        <is>
          <t>PLANILHA DE PROJEÇÃO DE PATRIMÔNIO COM JUROS COMPOSTOS</t>
        </is>
      </c>
    </row>
    <row r="3">
      <c r="A3" s="2" t="inlineStr">
        <is>
          <t>Meta de Patrimônio (R$):</t>
        </is>
      </c>
      <c r="F3" s="3" t="n">
        <v>1000000</v>
      </c>
    </row>
    <row r="4">
      <c r="A4" s="2" t="inlineStr">
        <is>
          <t>Aporte Mensal (R$):</t>
        </is>
      </c>
      <c r="F4" s="3" t="n">
        <v>4200</v>
      </c>
    </row>
    <row r="5">
      <c r="A5" s="2" t="inlineStr">
        <is>
          <t>Taxa Anual de Retorno (%):</t>
        </is>
      </c>
      <c r="F5" s="4" t="n">
        <v>0.1465</v>
      </c>
    </row>
    <row r="6">
      <c r="A6" s="2" t="inlineStr">
        <is>
          <t>Aporte Inicial (R$):</t>
        </is>
      </c>
      <c r="F6" s="3" t="n">
        <v>0</v>
      </c>
    </row>
    <row r="8">
      <c r="A8" s="5" t="inlineStr">
        <is>
          <t>Ano</t>
        </is>
      </c>
      <c r="B8" s="5" t="inlineStr">
        <is>
          <t>Total Investido (R$)</t>
        </is>
      </c>
      <c r="C8" s="5" t="inlineStr">
        <is>
          <t>Juros Acumulados (R$)</t>
        </is>
      </c>
      <c r="D8" s="5" t="inlineStr">
        <is>
          <t>Patrimônio Total (R$)</t>
        </is>
      </c>
      <c r="E8" s="5" t="inlineStr">
        <is>
          <t>% da Meta</t>
        </is>
      </c>
      <c r="F8" s="5" t="inlineStr">
        <is>
          <t>CDI Acumulado</t>
        </is>
      </c>
      <c r="G8" s="5" t="inlineStr">
        <is>
          <t>Status</t>
        </is>
      </c>
    </row>
    <row r="9">
      <c r="A9" s="6" t="n">
        <v>1</v>
      </c>
      <c r="B9" s="7">
        <f>$F$6+$F$4*12*1</f>
        <v/>
      </c>
      <c r="C9" s="7">
        <f>D9-B9</f>
        <v/>
      </c>
      <c r="D9" s="8">
        <f>IF(1=1,$F$6*(1+$F$5)^1+$F$4*12*(((1+$F$5)^1-1)/$F$5),$F$6*(1+$F$5)^1+$F$4*12*(((1+$F$5)^1-1)/$F$5))</f>
        <v/>
      </c>
      <c r="E9" s="9">
        <f>D9/$F$3</f>
        <v/>
      </c>
      <c r="F9" s="6">
        <f>1</f>
        <v/>
      </c>
      <c r="G9" s="6">
        <f>IF(D9&gt;=$F$3,"META ATINGIDA!",IF(D9&gt;=$F$3*0.8,"Quase lá","Em progresso"))</f>
        <v/>
      </c>
    </row>
    <row r="10">
      <c r="A10" s="6" t="n">
        <v>2</v>
      </c>
      <c r="B10" s="7">
        <f>$F$6+$F$4*12*2</f>
        <v/>
      </c>
      <c r="C10" s="7">
        <f>D10-B10</f>
        <v/>
      </c>
      <c r="D10" s="8">
        <f>IF(2=1,$F$6*(1+$F$5)^1+$F$4*12*(((1+$F$5)^1-1)/$F$5),$F$6*(1+$F$5)^2+$F$4*12*(((1+$F$5)^2-1)/$F$5))</f>
        <v/>
      </c>
      <c r="E10" s="9">
        <f>D10/$F$3</f>
        <v/>
      </c>
      <c r="F10" s="6">
        <f>2</f>
        <v/>
      </c>
      <c r="G10" s="6">
        <f>IF(D10&gt;=$F$3,"META ATINGIDA!",IF(D10&gt;=$F$3*0.8,"Quase lá","Em progresso"))</f>
        <v/>
      </c>
    </row>
    <row r="11">
      <c r="A11" s="6" t="n">
        <v>3</v>
      </c>
      <c r="B11" s="7">
        <f>$F$6+$F$4*12*3</f>
        <v/>
      </c>
      <c r="C11" s="7">
        <f>D11-B11</f>
        <v/>
      </c>
      <c r="D11" s="8">
        <f>IF(3=1,$F$6*(1+$F$5)^1+$F$4*12*(((1+$F$5)^1-1)/$F$5),$F$6*(1+$F$5)^3+$F$4*12*(((1+$F$5)^3-1)/$F$5))</f>
        <v/>
      </c>
      <c r="E11" s="9">
        <f>D11/$F$3</f>
        <v/>
      </c>
      <c r="F11" s="6">
        <f>3</f>
        <v/>
      </c>
      <c r="G11" s="6">
        <f>IF(D11&gt;=$F$3,"META ATINGIDA!",IF(D11&gt;=$F$3*0.8,"Quase lá","Em progresso"))</f>
        <v/>
      </c>
    </row>
    <row r="12">
      <c r="A12" s="6" t="n">
        <v>4</v>
      </c>
      <c r="B12" s="7">
        <f>$F$6+$F$4*12*4</f>
        <v/>
      </c>
      <c r="C12" s="7">
        <f>D12-B12</f>
        <v/>
      </c>
      <c r="D12" s="8">
        <f>IF(4=1,$F$6*(1+$F$5)^1+$F$4*12*(((1+$F$5)^1-1)/$F$5),$F$6*(1+$F$5)^4+$F$4*12*(((1+$F$5)^4-1)/$F$5))</f>
        <v/>
      </c>
      <c r="E12" s="9">
        <f>D12/$F$3</f>
        <v/>
      </c>
      <c r="F12" s="6">
        <f>4</f>
        <v/>
      </c>
      <c r="G12" s="6">
        <f>IF(D12&gt;=$F$3,"META ATINGIDA!",IF(D12&gt;=$F$3*0.8,"Quase lá","Em progresso"))</f>
        <v/>
      </c>
    </row>
    <row r="13">
      <c r="A13" s="6" t="n">
        <v>5</v>
      </c>
      <c r="B13" s="7">
        <f>$F$6+$F$4*12*5</f>
        <v/>
      </c>
      <c r="C13" s="7">
        <f>D13-B13</f>
        <v/>
      </c>
      <c r="D13" s="8">
        <f>IF(5=1,$F$6*(1+$F$5)^1+$F$4*12*(((1+$F$5)^1-1)/$F$5),$F$6*(1+$F$5)^5+$F$4*12*(((1+$F$5)^5-1)/$F$5))</f>
        <v/>
      </c>
      <c r="E13" s="9">
        <f>D13/$F$3</f>
        <v/>
      </c>
      <c r="F13" s="6">
        <f>5</f>
        <v/>
      </c>
      <c r="G13" s="6">
        <f>IF(D13&gt;=$F$3,"META ATINGIDA!",IF(D13&gt;=$F$3*0.8,"Quase lá","Em progresso"))</f>
        <v/>
      </c>
    </row>
    <row r="14">
      <c r="A14" s="6" t="n">
        <v>6</v>
      </c>
      <c r="B14" s="7">
        <f>$F$6+$F$4*12*6</f>
        <v/>
      </c>
      <c r="C14" s="7">
        <f>D14-B14</f>
        <v/>
      </c>
      <c r="D14" s="8">
        <f>IF(6=1,$F$6*(1+$F$5)^1+$F$4*12*(((1+$F$5)^1-1)/$F$5),$F$6*(1+$F$5)^6+$F$4*12*(((1+$F$5)^6-1)/$F$5))</f>
        <v/>
      </c>
      <c r="E14" s="9">
        <f>D14/$F$3</f>
        <v/>
      </c>
      <c r="F14" s="6">
        <f>6</f>
        <v/>
      </c>
      <c r="G14" s="6">
        <f>IF(D14&gt;=$F$3,"META ATINGIDA!",IF(D14&gt;=$F$3*0.8,"Quase lá","Em progresso"))</f>
        <v/>
      </c>
    </row>
    <row r="15">
      <c r="A15" s="6" t="n">
        <v>7</v>
      </c>
      <c r="B15" s="7">
        <f>$F$6+$F$4*12*7</f>
        <v/>
      </c>
      <c r="C15" s="7">
        <f>D15-B15</f>
        <v/>
      </c>
      <c r="D15" s="8">
        <f>IF(7=1,$F$6*(1+$F$5)^1+$F$4*12*(((1+$F$5)^1-1)/$F$5),$F$6*(1+$F$5)^7+$F$4*12*(((1+$F$5)^7-1)/$F$5))</f>
        <v/>
      </c>
      <c r="E15" s="9">
        <f>D15/$F$3</f>
        <v/>
      </c>
      <c r="F15" s="6">
        <f>7</f>
        <v/>
      </c>
      <c r="G15" s="6">
        <f>IF(D15&gt;=$F$3,"META ATINGIDA!",IF(D15&gt;=$F$3*0.8,"Quase lá","Em progresso"))</f>
        <v/>
      </c>
    </row>
    <row r="16">
      <c r="A16" s="6" t="n">
        <v>8</v>
      </c>
      <c r="B16" s="7">
        <f>$F$6+$F$4*12*8</f>
        <v/>
      </c>
      <c r="C16" s="7">
        <f>D16-B16</f>
        <v/>
      </c>
      <c r="D16" s="8">
        <f>IF(8=1,$F$6*(1+$F$5)^1+$F$4*12*(((1+$F$5)^1-1)/$F$5),$F$6*(1+$F$5)^8+$F$4*12*(((1+$F$5)^8-1)/$F$5))</f>
        <v/>
      </c>
      <c r="E16" s="9">
        <f>D16/$F$3</f>
        <v/>
      </c>
      <c r="F16" s="6">
        <f>8</f>
        <v/>
      </c>
      <c r="G16" s="6">
        <f>IF(D16&gt;=$F$3,"META ATINGIDA!",IF(D16&gt;=$F$3*0.8,"Quase lá","Em progresso"))</f>
        <v/>
      </c>
    </row>
    <row r="17">
      <c r="A17" s="6" t="n">
        <v>9</v>
      </c>
      <c r="B17" s="7">
        <f>$F$6+$F$4*12*9</f>
        <v/>
      </c>
      <c r="C17" s="7">
        <f>D17-B17</f>
        <v/>
      </c>
      <c r="D17" s="8">
        <f>IF(9=1,$F$6*(1+$F$5)^1+$F$4*12*(((1+$F$5)^1-1)/$F$5),$F$6*(1+$F$5)^9+$F$4*12*(((1+$F$5)^9-1)/$F$5))</f>
        <v/>
      </c>
      <c r="E17" s="9">
        <f>D17/$F$3</f>
        <v/>
      </c>
      <c r="F17" s="6">
        <f>9</f>
        <v/>
      </c>
      <c r="G17" s="6">
        <f>IF(D17&gt;=$F$3,"META ATINGIDA!",IF(D17&gt;=$F$3*0.8,"Quase lá","Em progresso"))</f>
        <v/>
      </c>
    </row>
    <row r="18">
      <c r="A18" s="6" t="n">
        <v>10</v>
      </c>
      <c r="B18" s="7">
        <f>$F$6+$F$4*12*10</f>
        <v/>
      </c>
      <c r="C18" s="7">
        <f>D18-B18</f>
        <v/>
      </c>
      <c r="D18" s="8">
        <f>IF(10=1,$F$6*(1+$F$5)^1+$F$4*12*(((1+$F$5)^1-1)/$F$5),$F$6*(1+$F$5)^10+$F$4*12*(((1+$F$5)^10-1)/$F$5))</f>
        <v/>
      </c>
      <c r="E18" s="9">
        <f>D18/$F$3</f>
        <v/>
      </c>
      <c r="F18" s="6">
        <f>10</f>
        <v/>
      </c>
      <c r="G18" s="6">
        <f>IF(D18&gt;=$F$3,"META ATINGIDA!",IF(D18&gt;=$F$3*0.8,"Quase lá","Em progresso"))</f>
        <v/>
      </c>
    </row>
    <row r="21">
      <c r="A21" s="10" t="inlineStr">
        <is>
          <t>RESUMO:</t>
        </is>
      </c>
    </row>
    <row r="22">
      <c r="A22" t="inlineStr">
        <is>
          <t>Anos para atingir a meta:</t>
        </is>
      </c>
      <c r="B22">
        <f>MATCH(TRUE,D9:D18&gt;=$F$3,0)</f>
        <v/>
      </c>
      <c r="C22" t="inlineStr">
        <is>
          <t>anos</t>
        </is>
      </c>
    </row>
    <row r="23">
      <c r="A23" t="inlineStr">
        <is>
          <t>Total investido no período:</t>
        </is>
      </c>
      <c r="B23" s="7">
        <f>B18</f>
        <v/>
      </c>
    </row>
    <row r="24">
      <c r="A24" t="inlineStr">
        <is>
          <t>Juros compostos ganhos:</t>
        </is>
      </c>
      <c r="B24" s="11">
        <f>D18-B18</f>
        <v/>
      </c>
    </row>
    <row r="26">
      <c r="A26" s="2" t="inlineStr">
        <is>
          <t>NOTAS:</t>
        </is>
      </c>
    </row>
    <row r="27">
      <c r="A27" s="12" t="inlineStr">
        <is>
          <t>1. Altere os valores em azul (F3 a F6) para simular diferentes cenários</t>
        </is>
      </c>
    </row>
    <row r="28">
      <c r="A28" s="12" t="inlineStr">
        <is>
          <t>2. A taxa de 14,65% corresponde ao CDI atual (abril/2026)</t>
        </is>
      </c>
    </row>
    <row r="29">
      <c r="A29" s="12" t="inlineStr">
        <is>
          <t>3. Cálculos consideram juros compostos anuais com aporte mensal</t>
        </is>
      </c>
    </row>
    <row r="30">
      <c r="A30" s="12" t="inlineStr">
        <is>
          <t>4. Para renda variável, ajuste a taxa conforme expectativa de retorno</t>
        </is>
      </c>
    </row>
    <row r="31">
      <c r="A31" s="12" t="inlineStr">
        <is>
          <t>5. Criado por Kenneth Corrêa - administracaoegestao.com.br</t>
        </is>
      </c>
    </row>
  </sheetData>
  <mergeCells count="1">
    <mergeCell ref="A1:G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2026-04-26T15:14:11Z</dcterms:created>
  <dcterms:modified xmlns:dcterms="http://purl.org/dc/terms/" xmlns:xsi="http://www.w3.org/2001/XMLSchema-instance" xsi:type="dcterms:W3CDTF">2026-04-26T15:14:11Z</dcterms:modified>
</cp:coreProperties>
</file>